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160"/>
  </bookViews>
  <sheets>
    <sheet name="مناقصات" sheetId="1" r:id="rId1"/>
    <sheet name="آمار" sheetId="2" r:id="rId2"/>
    <sheet name="آمار فنی-مهندسی" sheetId="3" r:id="rId3"/>
    <sheet name="آمار عمرانی" sheetId="4" r:id="rId4"/>
    <sheet name="آمار خدمات" sheetId="6" r:id="rId5"/>
    <sheet name="خرید اقلام" sheetId="5" r:id="rId6"/>
    <sheet name="آمار کل" sheetId="7" r:id="rId7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4" l="1"/>
  <c r="B9" i="4" l="1"/>
  <c r="B5" i="4"/>
  <c r="C10" i="3"/>
  <c r="B10" i="3"/>
  <c r="B6" i="4"/>
  <c r="C5" i="4"/>
  <c r="C6" i="4"/>
  <c r="C11" i="3"/>
  <c r="B11" i="3"/>
  <c r="C7" i="4"/>
  <c r="B7" i="4"/>
  <c r="C8" i="4"/>
  <c r="C9" i="3"/>
  <c r="B9" i="3"/>
  <c r="C4" i="4"/>
  <c r="C12" i="3"/>
  <c r="C11" i="4"/>
  <c r="C5" i="2"/>
  <c r="B11" i="4"/>
  <c r="C10" i="4"/>
  <c r="C3" i="3"/>
  <c r="B3" i="3"/>
  <c r="B3" i="6"/>
  <c r="B4" i="6"/>
  <c r="B12" i="3"/>
  <c r="C6" i="6"/>
  <c r="B6" i="6"/>
  <c r="C5" i="6"/>
  <c r="B5" i="6"/>
  <c r="C4" i="6"/>
  <c r="C3" i="6"/>
  <c r="C3" i="4"/>
  <c r="B3" i="4"/>
  <c r="C3" i="5"/>
  <c r="C6" i="7" s="1"/>
  <c r="B3" i="5"/>
  <c r="B6" i="7" s="1"/>
  <c r="B4" i="4"/>
  <c r="C8" i="3"/>
  <c r="C7" i="3"/>
  <c r="C6" i="3"/>
  <c r="B6" i="3"/>
  <c r="B5" i="3"/>
  <c r="C5" i="3"/>
  <c r="C4" i="3"/>
  <c r="B8" i="3"/>
  <c r="B7" i="3"/>
  <c r="B10" i="4"/>
  <c r="B8" i="4"/>
  <c r="B4" i="3"/>
  <c r="B13" i="3" l="1"/>
  <c r="B3" i="7" s="1"/>
  <c r="C13" i="3"/>
  <c r="C3" i="7" s="1"/>
  <c r="B12" i="4"/>
  <c r="B4" i="7" s="1"/>
  <c r="C12" i="4"/>
  <c r="C4" i="7" s="1"/>
  <c r="B7" i="6"/>
  <c r="B5" i="7" s="1"/>
  <c r="C7" i="6"/>
  <c r="C5" i="7" s="1"/>
  <c r="C4" i="2"/>
  <c r="C7" i="7" l="1"/>
  <c r="B7" i="7"/>
  <c r="B4" i="2"/>
  <c r="B5" i="2"/>
  <c r="C3" i="2"/>
  <c r="B3" i="2" l="1"/>
</calcChain>
</file>

<file path=xl/sharedStrings.xml><?xml version="1.0" encoding="utf-8"?>
<sst xmlns="http://schemas.openxmlformats.org/spreadsheetml/2006/main" count="374" uniqueCount="209">
  <si>
    <t>ردیف</t>
  </si>
  <si>
    <t>عنوان مناقصه</t>
  </si>
  <si>
    <t>شماره مرجع</t>
  </si>
  <si>
    <t>موضوع</t>
  </si>
  <si>
    <t>برگزارکننده در قزاقستان</t>
  </si>
  <si>
    <t>تامین‌کننده هزینه مناقصه</t>
  </si>
  <si>
    <t>تاریخ شروع</t>
  </si>
  <si>
    <t>تاریخ خاتمه</t>
  </si>
  <si>
    <t>اطلاعات تکمیلی</t>
  </si>
  <si>
    <t>آدرس رایانامه</t>
  </si>
  <si>
    <t xml:space="preserve">
سفارت جمهوری اسلامی ایران - آستانه</t>
  </si>
  <si>
    <t>روش</t>
  </si>
  <si>
    <t>ارزش (به یورو)</t>
  </si>
  <si>
    <t>خرید اقلام</t>
  </si>
  <si>
    <t>تعداد</t>
  </si>
  <si>
    <t>فنی و مهندسی</t>
  </si>
  <si>
    <t>آمار</t>
  </si>
  <si>
    <t>تعداد و ارزش کل</t>
  </si>
  <si>
    <t>ارزش (یورو)</t>
  </si>
  <si>
    <t>رقابت با استفاده از سامانه امتیازدهی</t>
  </si>
  <si>
    <t>انبوه‌سازی مسکن</t>
  </si>
  <si>
    <t>خدمات حمل‌ونقل</t>
  </si>
  <si>
    <t>فنی-مهندسی برق</t>
  </si>
  <si>
    <t>فنی-مهندسی راه‌آهن</t>
  </si>
  <si>
    <t>ساخت ابنیه/ساختار غیرمسکونی</t>
  </si>
  <si>
    <t>تعمیرات ابنیه/ساختار غیرمسکونی</t>
  </si>
  <si>
    <t>گازرسانی</t>
  </si>
  <si>
    <t>فنی-مهندسی معدن</t>
  </si>
  <si>
    <t>خدمات کترینگ</t>
  </si>
  <si>
    <t>بازسازی ابنیه تاریخی</t>
  </si>
  <si>
    <t>فنی-مهندسی ارتباطات و فناوری اطلاعات</t>
  </si>
  <si>
    <t>فنی-مهندسی فضای سبز</t>
  </si>
  <si>
    <t>ساخت بزرگراه، خیابان و جاده</t>
  </si>
  <si>
    <t>تعمیرات بزرگراه، خیابان و جاده</t>
  </si>
  <si>
    <t>آمار مناقصات خرید اقلام</t>
  </si>
  <si>
    <t>آمار مناقصات عمرانی</t>
  </si>
  <si>
    <t>آمار مناقصات خدمات فنی-مهندسی</t>
  </si>
  <si>
    <t>فنی-مهندسی کشاورزی</t>
  </si>
  <si>
    <t xml:space="preserve">جمع کل </t>
  </si>
  <si>
    <t>آمار مناقصات خدمات</t>
  </si>
  <si>
    <t>جمع کل</t>
  </si>
  <si>
    <t>فنی مهندسی گرمایش و سرمایش</t>
  </si>
  <si>
    <t>خدمات نظافت خیابان و ساختمان</t>
  </si>
  <si>
    <t>خدمات شهری (روشنایی معابر)</t>
  </si>
  <si>
    <t>عمرانی</t>
  </si>
  <si>
    <t>خدمات</t>
  </si>
  <si>
    <t>فنی مهندسی هواپیمایی کشوری</t>
  </si>
  <si>
    <t>فنی-مهندسی نفت‌وگاز</t>
  </si>
  <si>
    <t>آب‌وآبفا</t>
  </si>
  <si>
    <t xml:space="preserve">منبع: </t>
  </si>
  <si>
    <t>https://goszakup.gov.kz/ru/search/announce</t>
  </si>
  <si>
    <t>https://zakup.sk.kz/</t>
  </si>
  <si>
    <t>صندوق ملی رفاه سامروک کازینا</t>
  </si>
  <si>
    <t>مناقصه</t>
  </si>
  <si>
    <t>nurlan.magzumov@kmg.kz</t>
  </si>
  <si>
    <t xml:space="preserve">دپارتمان امور اقتصادی و دارایی بخش </t>
  </si>
  <si>
    <t>دپارتمان ساخت‌وساز بخش</t>
  </si>
  <si>
    <t>رقابت باز</t>
  </si>
  <si>
    <t>tanir_daur@mail.ru</t>
  </si>
  <si>
    <t>دپارتمان تدارکات عمومی استان</t>
  </si>
  <si>
    <t>شرکت ملی راه‌آهن قزاقستان</t>
  </si>
  <si>
    <t>مدیریت اموال و تدارکات عمومی آستانه</t>
  </si>
  <si>
    <t>imanbayev@kegoc.kz</t>
  </si>
  <si>
    <t>gz3901832@mail.ru</t>
  </si>
  <si>
    <t>دپارتمان حمل‌ونقل شهر</t>
  </si>
  <si>
    <t>n.salimov@kaztransoil.kz</t>
  </si>
  <si>
    <t>شرکت «KazTransOil»</t>
  </si>
  <si>
    <t>دپارتمان ساخت‌وساز استان</t>
  </si>
  <si>
    <t>almoblgz@mail.ru</t>
  </si>
  <si>
    <t>kulov.erlan710@mail.ru</t>
  </si>
  <si>
    <t>دپارتمان دارایی‌های دولتی شهر آلماتی</t>
  </si>
  <si>
    <t>ugz-atyrau@mail.ru</t>
  </si>
  <si>
    <t>prey_88@mail.ru</t>
  </si>
  <si>
    <t>a.dzhanshina@astana.kz</t>
  </si>
  <si>
    <t>77_12_02_P03@ales.kz</t>
  </si>
  <si>
    <t>شرکت ایستگاه‌های برق آلماتی</t>
  </si>
  <si>
    <t>نیروگاه برق اتمی منگیستائو</t>
  </si>
  <si>
    <t>1404/04/17</t>
  </si>
  <si>
    <t>drustemov@inkai.kz</t>
  </si>
  <si>
    <t>1404/04/13</t>
  </si>
  <si>
    <t>1404/04/18</t>
  </si>
  <si>
    <t>bayaliyev@kus.com.kz</t>
  </si>
  <si>
    <t>1404/04/19</t>
  </si>
  <si>
    <t>برق‌رسانی</t>
  </si>
  <si>
    <t>1404/04/20</t>
  </si>
  <si>
    <t>daniar_8989@mail.ru</t>
  </si>
  <si>
    <t>1404/04/23</t>
  </si>
  <si>
    <t>1404/04/27</t>
  </si>
  <si>
    <t>shaimerden2226@gmail.com</t>
  </si>
  <si>
    <t>1404/04/26</t>
  </si>
  <si>
    <t>مدرسه شماره 13</t>
  </si>
  <si>
    <t>15040537-1</t>
  </si>
  <si>
    <t>https://goszakup.gov.kz/ru/announce/index/15040537</t>
  </si>
  <si>
    <t>ساخت یک مهدکودک با ظرفیت 280 نفر در بخش ژیلیوی استان آتیرائو</t>
  </si>
  <si>
    <t>15052515-1</t>
  </si>
  <si>
    <t>https://goszakup.gov.kz/ru/announce/index/15052515</t>
  </si>
  <si>
    <t>بازسازی دو شبکه توزیع گاز روستایی در استان قوستانای</t>
  </si>
  <si>
    <t>15045725-1</t>
  </si>
  <si>
    <t>https://goszakup.gov.kz/ru/announce/index/15045725</t>
  </si>
  <si>
    <t>otd.stroi.2014@mail.ru</t>
  </si>
  <si>
    <t>دپارتمان املاک اقتصاد بخش</t>
  </si>
  <si>
    <t>تعمیرات متوسط جاده باسکامیس بخش آقتوقای استان پاولودار در کیلومتر 15-0</t>
  </si>
  <si>
    <t>https://goszakup.gov.kz/ru/announce/index/15052528</t>
  </si>
  <si>
    <t xml:space="preserve">دپارتمان گردشگری شهر </t>
  </si>
  <si>
    <t xml:space="preserve">انجام مطالعات امکان‌سنجی پروژه «توسعه منطقه مرکزی خوشه کوهستانی آلماتی»  </t>
  </si>
  <si>
    <t>15052528-1</t>
  </si>
  <si>
    <t>15031182-3</t>
  </si>
  <si>
    <t>https://goszakup.gov.kz/ru/announce/index/15057665</t>
  </si>
  <si>
    <t xml:space="preserve">تعمیرات جاری 15 ساختمان در شهر قونایِف </t>
  </si>
  <si>
    <t>دپارتمان خانه‌سازی شهر</t>
  </si>
  <si>
    <t>15044958-3</t>
  </si>
  <si>
    <t>https://goszakup.gov.kz/ru/announce/index/15059698</t>
  </si>
  <si>
    <t>shalfin@mail.ru</t>
  </si>
  <si>
    <t>تعمیرات متوسط جاده KTNA-53 محور اوزیناژار-ایشیمکایه-آقسوات در بخش شال‌آکین استان قزاقستان شمالی</t>
  </si>
  <si>
    <t>15063847-1</t>
  </si>
  <si>
    <t>https://goszakup.gov.kz/ru/announce/index/15063847</t>
  </si>
  <si>
    <t>راه‌اندازی سامانه اندازه‌گیری گازهای خروجی نیروگاه برق «MAEK» آکتائو</t>
  </si>
  <si>
    <t>15062696-1</t>
  </si>
  <si>
    <t>1404/04/30</t>
  </si>
  <si>
    <t>https://goszakup.gov.kz/ru/announce/index/15062696</t>
  </si>
  <si>
    <t>تعمیر ونگهداری خیابان‌های شهر آلماتی</t>
  </si>
  <si>
    <t>دپارتمان جابجایی شهری آلماتی</t>
  </si>
  <si>
    <t>15061088-1</t>
  </si>
  <si>
    <t>https://goszakup.gov.kz/ru/announce/index/15061088</t>
  </si>
  <si>
    <t>بازسازی زیرسازی جاده‌های شهر کورچاتوف استان آبای</t>
  </si>
  <si>
    <t>پروژه بازسازی پالایشگاه عمیق نفت «PNHZ»</t>
  </si>
  <si>
    <t>شرکت کارخانه پتروشیمی پاولودار</t>
  </si>
  <si>
    <t>g.danjev@pnhz.kz</t>
  </si>
  <si>
    <t>https://zakup.sk.kz/#/ext(popup:item/1128458/advert)?tabs=advert&amp;adst=PUBLISHED&amp;lst=PUBLISHED&amp;sort=sumTruNoNds,desc&amp;page=1</t>
  </si>
  <si>
    <t>https://zakup.sk.kz/#/ext(popup:item/1125964/advert)?tabs=advert&amp;adst=PUBLISHED&amp;lst=PUBLISHED&amp;sort=sumTruNoNds,desc&amp;page=1</t>
  </si>
  <si>
    <t>بازسازی مخزن نفت RVS-20000m3 No.15 در استان منگیستائو</t>
  </si>
  <si>
    <t xml:space="preserve">خرید 4 دستگاه جرثقیل دروازه‌ای </t>
  </si>
  <si>
    <t>شرکت «Kedentransservice»</t>
  </si>
  <si>
    <t>https://zakup.sk.kz/#/ext(popup:item/1126619/advert)?tabs=advert&amp;adst=PUBLISHED&amp;lst=PUBLISHED&amp;sort=sumTruNoNds,desc&amp;page=1</t>
  </si>
  <si>
    <t>AKAIROVA@KDTS.KZ</t>
  </si>
  <si>
    <t>15066159-1</t>
  </si>
  <si>
    <t>https://goszakup.gov.kz/ru/announce/index/15066159</t>
  </si>
  <si>
    <t>بازسازی سامانه جمع‌آوری فاضلاب شماره 19 خیابان مندلیف شهر آلماتی</t>
  </si>
  <si>
    <t>دپارتمان انرژی شهر</t>
  </si>
  <si>
    <t>15066101-1</t>
  </si>
  <si>
    <t>https://goszakup.gov.kz/ru/announce/index/15066101</t>
  </si>
  <si>
    <t>تعمیرات متوسط شبکه راه‌های دهیاری شانیراک بخش آلاتائو  شهر آلماتی</t>
  </si>
  <si>
    <t>15038482-2</t>
  </si>
  <si>
    <t>https://goszakup.gov.kz/ru/announce/index/15065549</t>
  </si>
  <si>
    <t>تعمیرات جامع سامانه آبفا مدرسه شماره 13 شهر ژِزکازگان استان اولیتائو</t>
  </si>
  <si>
    <t>تعمیرات ابنیه/ساختار مسکونی</t>
  </si>
  <si>
    <t>15065326-1</t>
  </si>
  <si>
    <t>شهرداری ناحیه</t>
  </si>
  <si>
    <t>تعمیرات جاری نمای ساختمان‌های مسکونی بخش 1 و 2 ناحیه آلمالی شهر آلماتی</t>
  </si>
  <si>
    <t>https://goszakup.gov.kz/ru/announce/index/15065326</t>
  </si>
  <si>
    <t>15065060-1</t>
  </si>
  <si>
    <t>https://goszakup.gov.kz/ru/announce/index/15065060</t>
  </si>
  <si>
    <t>تعمیرات متوسط شبکه راه‌های روستای آقبولاغ بخش آلاتائو  شهر آلماتی</t>
  </si>
  <si>
    <t>ساخت و بازسازی جاده‌ها و شبکه‌های آب و برق منطقه مسکونی کومسومولسکی . مرحله چهارم</t>
  </si>
  <si>
    <t>15065027-1</t>
  </si>
  <si>
    <t>https://goszakup.gov.kz/ru/announce/index/15065027</t>
  </si>
  <si>
    <t>تعمیرات اساسی/نوسازی توربین نیروگاه برق کاراباتان</t>
  </si>
  <si>
    <t>شرکت با مسئولیت محدود "کاراباتان یوتیلیتی سولوشنز"</t>
  </si>
  <si>
    <t>https://zakup.sk.kz/#/ext(popup:item/1128721/advert)?tabs=advert&amp;adst=PUBLISHED&amp;lst=PUBLISHED&amp;sort=sumTruNoNds,desc&amp;page=1</t>
  </si>
  <si>
    <t>1404/05/01</t>
  </si>
  <si>
    <t>خرید 750 مجموعه بست برابرساز ویژه خط‌آهن تایپ P65</t>
  </si>
  <si>
    <t>1404/04/31</t>
  </si>
  <si>
    <t>https://zakup.sk.kz/#/ext(popup:item/1128455/advert)?tabs=advert&amp;adst=PUBLISHED&amp;lst=PUBLISHED&amp;sort=sumTruNoNds,desc&amp;page=1</t>
  </si>
  <si>
    <t>sadvakasov_abs@railways.kz</t>
  </si>
  <si>
    <t>کارهای ساختمانی و نصب پروژه: "کمپرسور گاز تجاری میدان علی بکمولا"</t>
  </si>
  <si>
    <t>شرکت با مسئولیت محدود "قزاقویل آکتوبه"</t>
  </si>
  <si>
    <t>https://zakup.sk.kz/#/ext(popup:item/1126359/advert)?tabs=advert&amp;adst=PUBLISHED&amp;lst=PUBLISHED&amp;sort=sumTruNoNds,desc&amp;page=2</t>
  </si>
  <si>
    <t>mukasheva.a@koa.kz</t>
  </si>
  <si>
    <t>https://zakup.sk.kz/#/ext(popup:item/1126925/advert)?tabs=advert&amp;adst=PUBLISHED&amp;lst=PUBLISHED&amp;sort=sumTruNoNds,desc&amp;page=2</t>
  </si>
  <si>
    <t>Uskenbaeva_D@railways.kz</t>
  </si>
  <si>
    <t>کارهای تعمیر و نگهداری/سرویس روی ناوگان تخصصی راه‌آهن</t>
  </si>
  <si>
    <t>بازسازی تابلو برق ۵۰۰ کیلوولت با نصب اتوترانسفورماتور ۵۰۰ کیلوولت ایسنگاه توزیع برق ژیتیکارا</t>
  </si>
  <si>
    <t>شرکت ملی برق قزاقستان</t>
  </si>
  <si>
    <t>1404/05/02</t>
  </si>
  <si>
    <t>https://zakup.sk.kz/#/ext(popup:item/1126868/advert)?tabs=advert&amp;adst=PUBLISHED&amp;lst=PUBLISHED&amp;sort=sumTruNoNds,desc&amp;page=2</t>
  </si>
  <si>
    <t>ساخت ساختمان اداری برای مدیریت نیروگاه برق AlES در شهر آلماتی</t>
  </si>
  <si>
    <t>https://zakup.sk.kz/#/ext(popup:item/1123931/advert)?tabs=advert&amp;adst=PUBLISHED&amp;lst=PUBLISHED&amp;sort=sumTruNoNds,desc&amp;page=2</t>
  </si>
  <si>
    <t>تعمیرات اساسی/بازسازی خطوط لوله گاز محلی بخش شالکار در استان آقتبه</t>
  </si>
  <si>
    <t>شرکت سهامی خاص "قزاق گاز ایماق"</t>
  </si>
  <si>
    <t>https://zakup.sk.kz/#/ext(popup:item/1119368/advert)?tabs=advert&amp;adst=PUBLISHED&amp;lst=PUBLISHED&amp;sort=sumTruNoNds,desc&amp;page=3</t>
  </si>
  <si>
    <t>k.seitakhmetova@qg.kz</t>
  </si>
  <si>
    <t>Oil Services Company</t>
  </si>
  <si>
    <t>https://zakup.sk.kz/#/ext(popup:item/1127063/advert)?tabs=advert&amp;adst=PUBLISHED&amp;lst=PUBLISHED&amp;sort=sumTruNoNds,desc&amp;page=3</t>
  </si>
  <si>
    <t>suhamberdiev_o@osc.kmg.kz</t>
  </si>
  <si>
    <t>خرید یک واحد بالابر روی شاسی کامیون برای تعمیرات اساسی چاه نفت با ظرفیت بالابری حداقل 60 تن</t>
  </si>
  <si>
    <t>شرکت سهامی "کارازانباسمونای"</t>
  </si>
  <si>
    <t>https://zakup.sk.kz/#/ext(popup:item/1127775/advert)?tabs=advert&amp;adst=PUBLISHED&amp;lst=PUBLISHED&amp;sort=sumTruNoNds,desc&amp;page=3</t>
  </si>
  <si>
    <t>خرید 297.4 تن لوله پمپ و کمپرسور فولادی با قطر ۵۱-۱۰۰ میلی‌متر</t>
  </si>
  <si>
    <t>خرید 39287 عدد تراورس برای راه‌آهن نوع 1 و 2 آغشته و غیرآغشته</t>
  </si>
  <si>
    <t>شرکت با مسئولیت محدود "بوگاتیر کومیر"</t>
  </si>
  <si>
    <t>https://zakup.sk.kz/#/ext(popup:item/1127199/advert)?tabs=advert&amp;adst=PUBLISHED&amp;lst=PUBLISHED&amp;sort=sumTruNoNds,desc&amp;page=4</t>
  </si>
  <si>
    <t>natalia.muratova@bogatyr.kz</t>
  </si>
  <si>
    <t>خرید روتور ۶۸۳ برای توربین بخار</t>
  </si>
  <si>
    <t>"کارخانه پتروشیمی پاولودار</t>
  </si>
  <si>
    <t>https://zakup.sk.kz/#/ext(popup:item/1126864/advert)?tabs=advert&amp;adst=PUBLISHED&amp;lst=PUBLISHED&amp;sort=sumTruNoNds,desc&amp;page=4</t>
  </si>
  <si>
    <t>e.abanin@pnhz.kz</t>
  </si>
  <si>
    <t>خرید تجهیزات برای نیروگاه برق حرارتی از جمله محور چکش‌ها، نازل سوخت، اتصال کوپلینگ، شفت و پوشش</t>
  </si>
  <si>
    <t>شرکت سهامی "ایستگاه‌های برق آلماتی"</t>
  </si>
  <si>
    <t>1404/05/03</t>
  </si>
  <si>
    <t>https://zakup.sk.kz/#/ext(popup:item/1118433/advert)?tabs=advert&amp;adst=PUBLISHED&amp;lst=PUBLISHED&amp;sort=sumTruNoNds,desc&amp;page=5</t>
  </si>
  <si>
    <t>77_12_01_P07@ales.kz</t>
  </si>
  <si>
    <t>طراحی و پیاده‌سازی سیستم کنترل خودکار فرکانس و توان برای نیروگاه برق</t>
  </si>
  <si>
    <t>a.zhandarbayeva@kus.com.kz</t>
  </si>
  <si>
    <t>https://zakup.sk.kz/#/ext(popup:item/1127452/advert)?tabs=advert&amp;adst=PUBLISHED&amp;lst=PUBLISHED&amp;sort=sumTruNoNds,desc&amp;page=5</t>
  </si>
  <si>
    <t>خرید 642 تن آمونیاک خشک</t>
  </si>
  <si>
    <t>https://zakup.sk.kz/#/ext(popup:item/1132204/advert)?tabs=advert&amp;adst=PUBLISHED&amp;lst=PUBLISHED&amp;sort=sumTruNoNds,desc&amp;page=5</t>
  </si>
  <si>
    <t xml:space="preserve">شرکت "سرمایه گذاری مشترک اینکای" </t>
  </si>
  <si>
    <t>فهرست تعدادی از مناقصات جمهوری قزاقستان (شماره 3 تیر 1404)</t>
  </si>
  <si>
    <t>تهیه: سیدمحمد حسینی، کارشناس اقتصادی - 1404/04/20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</si>
</sst>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[$-3000401]0"/>
  </numFmts>
  <fonts count="27">
    <font>
      <sz val="11"/>
      <color theme="1"/>
      <name val="Calibri"/>
      <family val="2"/>
      <scheme val="minor"/>
    </font>
    <font>
      <sz val="11"/>
      <color theme="1"/>
      <name val="B Nazanin"/>
      <charset val="178"/>
    </font>
    <font>
      <b/>
      <sz val="14"/>
      <color theme="1"/>
      <name val="B Nazanin"/>
      <charset val="178"/>
    </font>
    <font>
      <b/>
      <sz val="11"/>
      <color theme="1"/>
      <name val="B Nazanin"/>
      <charset val="178"/>
    </font>
    <font>
      <b/>
      <sz val="14"/>
      <name val="B Nazanin"/>
      <charset val="178"/>
    </font>
    <font>
      <sz val="11"/>
      <name val="B Nazanin"/>
      <charset val="178"/>
    </font>
    <font>
      <sz val="8"/>
      <name val="Calibri"/>
      <family val="2"/>
      <scheme val="minor"/>
    </font>
    <font>
      <b/>
      <sz val="11"/>
      <name val="B Nazanin"/>
      <charset val="178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B Nazanin"/>
      <charset val="178"/>
    </font>
    <font>
      <sz val="10"/>
      <color rgb="FF5F5F5F"/>
      <name val="B Nazanin"/>
      <charset val="178"/>
    </font>
    <font>
      <b/>
      <sz val="18"/>
      <color theme="1"/>
      <name val="B Titr"/>
      <charset val="178"/>
    </font>
    <font>
      <sz val="16"/>
      <color theme="1"/>
      <name val="B Titr"/>
      <charset val="178"/>
    </font>
    <font>
      <b/>
      <sz val="14"/>
      <color theme="1"/>
      <name val="B Titr"/>
      <charset val="178"/>
    </font>
    <font>
      <sz val="11"/>
      <color rgb="FF000000"/>
      <name val="PT Sans"/>
      <family val="2"/>
    </font>
    <font>
      <sz val="10"/>
      <color rgb="FF5F5F5F"/>
      <name val="Arial"/>
      <family val="2"/>
    </font>
    <font>
      <sz val="11"/>
      <color rgb="FF000000"/>
      <name val="B Nazanin"/>
      <charset val="178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B Nazanin"/>
      <charset val="178"/>
    </font>
    <font>
      <sz val="10"/>
      <color theme="1"/>
      <name val="Arial"/>
      <family val="2"/>
    </font>
    <font>
      <sz val="12"/>
      <color rgb="FF000000"/>
      <name val="PT Sans"/>
      <family val="2"/>
    </font>
    <font>
      <sz val="10"/>
      <color rgb="FF000000"/>
      <name val="Arial"/>
      <family val="2"/>
    </font>
    <font>
      <sz val="12"/>
      <color rgb="FF000000"/>
      <name val="B Nazanin"/>
      <charset val="178"/>
    </font>
    <font>
      <sz val="11"/>
      <color theme="1"/>
      <name val="PT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3" xfId="0" applyFont="1" applyBorder="1" applyAlignment="1">
      <alignment horizontal="right" vertical="center"/>
    </xf>
    <xf numFmtId="0" fontId="19" fillId="0" borderId="4" xfId="2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readingOrder="2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165" fontId="21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165" fontId="26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readingOrder="2"/>
    </xf>
    <xf numFmtId="0" fontId="1" fillId="2" borderId="0" xfId="0" applyFont="1" applyFill="1" applyAlignment="1">
      <alignment horizontal="center" vertical="center" readingOrder="2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234603</xdr:colOff>
      <xdr:row>0</xdr:row>
      <xdr:rowOff>40662</xdr:rowOff>
    </xdr:from>
    <xdr:to>
      <xdr:col>5</xdr:col>
      <xdr:colOff>923365</xdr:colOff>
      <xdr:row>0</xdr:row>
      <xdr:rowOff>557732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7C3D9841-FA71-42D2-B41C-7CA653BD4B06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36364817" y="40662"/>
          <a:ext cx="688762" cy="517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oszakup.gov.kz/ru/search/announce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40"/>
  <sheetViews>
    <sheetView rightToLeft="1" tabSelected="1" zoomScale="60" zoomScaleNormal="60" workbookViewId="0">
      <pane ySplit="3" topLeftCell="A4" activePane="bottomLeft" state="frozen"/>
      <selection pane="bottomLeft" activeCell="G19" sqref="G19"/>
    </sheetView>
  </sheetViews>
  <sheetFormatPr defaultRowHeight="19.5"/>
  <cols>
    <col min="1" max="1" width="6.42578125" style="3" bestFit="1" customWidth="1"/>
    <col min="2" max="2" width="99.7109375" style="61" bestFit="1" customWidth="1"/>
    <col min="3" max="3" width="29.42578125" style="1" bestFit="1" customWidth="1"/>
    <col min="4" max="4" width="12.5703125" style="6" bestFit="1" customWidth="1"/>
    <col min="5" max="5" width="38.85546875" style="1" bestFit="1" customWidth="1"/>
    <col min="6" max="6" width="40.85546875" style="1" bestFit="1" customWidth="1"/>
    <col min="7" max="7" width="15.140625" style="4" bestFit="1" customWidth="1"/>
    <col min="8" max="8" width="12.28515625" style="1" bestFit="1" customWidth="1"/>
    <col min="9" max="9" width="12.140625" style="1" bestFit="1" customWidth="1"/>
    <col min="10" max="10" width="51.5703125" style="5" bestFit="1" customWidth="1"/>
    <col min="11" max="11" width="46.42578125" style="1" bestFit="1" customWidth="1"/>
    <col min="12" max="12" width="25.85546875" style="1" bestFit="1" customWidth="1"/>
    <col min="13" max="16384" width="9.140625" style="1"/>
  </cols>
  <sheetData>
    <row r="1" spans="1:12" ht="69" customHeight="1">
      <c r="A1" s="51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s="26" customFormat="1" ht="32.25">
      <c r="A2" s="50" t="s">
        <v>207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s="2" customFormat="1" ht="24">
      <c r="A3" s="7" t="s">
        <v>0</v>
      </c>
      <c r="B3" s="54" t="s">
        <v>1</v>
      </c>
      <c r="C3" s="7" t="s">
        <v>3</v>
      </c>
      <c r="D3" s="8" t="s">
        <v>2</v>
      </c>
      <c r="E3" s="7" t="s">
        <v>4</v>
      </c>
      <c r="F3" s="7" t="s">
        <v>5</v>
      </c>
      <c r="G3" s="9" t="s">
        <v>12</v>
      </c>
      <c r="H3" s="7" t="s">
        <v>6</v>
      </c>
      <c r="I3" s="7" t="s">
        <v>7</v>
      </c>
      <c r="J3" s="10" t="s">
        <v>8</v>
      </c>
      <c r="K3" s="7" t="s">
        <v>9</v>
      </c>
      <c r="L3" s="7" t="s">
        <v>11</v>
      </c>
    </row>
    <row r="4" spans="1:12">
      <c r="A4" s="33">
        <v>1</v>
      </c>
      <c r="B4" s="36" t="s">
        <v>93</v>
      </c>
      <c r="C4" s="11" t="s">
        <v>24</v>
      </c>
      <c r="D4" s="15" t="s">
        <v>91</v>
      </c>
      <c r="E4" s="12" t="s">
        <v>59</v>
      </c>
      <c r="F4" s="12" t="s">
        <v>67</v>
      </c>
      <c r="G4" s="12">
        <v>3781774</v>
      </c>
      <c r="H4" s="11" t="s">
        <v>77</v>
      </c>
      <c r="I4" s="11" t="s">
        <v>89</v>
      </c>
      <c r="J4" s="34" t="s">
        <v>92</v>
      </c>
      <c r="K4" s="35" t="s">
        <v>71</v>
      </c>
      <c r="L4" s="11" t="s">
        <v>19</v>
      </c>
    </row>
    <row r="5" spans="1:12">
      <c r="A5" s="33">
        <v>2</v>
      </c>
      <c r="B5" s="36" t="s">
        <v>96</v>
      </c>
      <c r="C5" s="11" t="s">
        <v>26</v>
      </c>
      <c r="D5" s="15" t="s">
        <v>94</v>
      </c>
      <c r="E5" s="12" t="s">
        <v>59</v>
      </c>
      <c r="F5" s="12" t="s">
        <v>67</v>
      </c>
      <c r="G5" s="12">
        <v>1761154</v>
      </c>
      <c r="H5" s="11" t="s">
        <v>77</v>
      </c>
      <c r="I5" s="11" t="s">
        <v>89</v>
      </c>
      <c r="J5" s="34" t="s">
        <v>95</v>
      </c>
      <c r="K5" s="37" t="s">
        <v>69</v>
      </c>
      <c r="L5" s="11" t="s">
        <v>19</v>
      </c>
    </row>
    <row r="6" spans="1:12">
      <c r="A6" s="33">
        <v>3</v>
      </c>
      <c r="B6" s="36" t="s">
        <v>101</v>
      </c>
      <c r="C6" s="11" t="s">
        <v>33</v>
      </c>
      <c r="D6" s="15" t="s">
        <v>97</v>
      </c>
      <c r="E6" s="12" t="s">
        <v>100</v>
      </c>
      <c r="F6" s="12" t="s">
        <v>100</v>
      </c>
      <c r="G6" s="12">
        <v>1188175</v>
      </c>
      <c r="H6" s="11" t="s">
        <v>79</v>
      </c>
      <c r="I6" s="11" t="s">
        <v>89</v>
      </c>
      <c r="J6" s="34" t="s">
        <v>98</v>
      </c>
      <c r="K6" s="37" t="s">
        <v>99</v>
      </c>
      <c r="L6" s="11" t="s">
        <v>57</v>
      </c>
    </row>
    <row r="7" spans="1:12">
      <c r="A7" s="33">
        <v>4</v>
      </c>
      <c r="B7" s="36" t="s">
        <v>104</v>
      </c>
      <c r="C7" s="11" t="s">
        <v>24</v>
      </c>
      <c r="D7" s="15" t="s">
        <v>105</v>
      </c>
      <c r="E7" s="12" t="s">
        <v>70</v>
      </c>
      <c r="F7" s="12" t="s">
        <v>103</v>
      </c>
      <c r="G7" s="12">
        <v>1085306</v>
      </c>
      <c r="H7" s="11" t="s">
        <v>77</v>
      </c>
      <c r="I7" s="11" t="s">
        <v>89</v>
      </c>
      <c r="J7" s="34" t="s">
        <v>102</v>
      </c>
      <c r="K7" s="37" t="s">
        <v>85</v>
      </c>
      <c r="L7" s="11" t="s">
        <v>57</v>
      </c>
    </row>
    <row r="8" spans="1:12">
      <c r="A8" s="33">
        <v>5</v>
      </c>
      <c r="B8" s="36" t="s">
        <v>108</v>
      </c>
      <c r="C8" s="11" t="s">
        <v>25</v>
      </c>
      <c r="D8" s="15" t="s">
        <v>106</v>
      </c>
      <c r="E8" s="12" t="s">
        <v>59</v>
      </c>
      <c r="F8" s="12" t="s">
        <v>109</v>
      </c>
      <c r="G8" s="12">
        <v>853380</v>
      </c>
      <c r="H8" s="11" t="s">
        <v>80</v>
      </c>
      <c r="I8" s="11" t="s">
        <v>87</v>
      </c>
      <c r="J8" s="34" t="s">
        <v>107</v>
      </c>
      <c r="K8" s="35" t="s">
        <v>68</v>
      </c>
      <c r="L8" s="11" t="s">
        <v>57</v>
      </c>
    </row>
    <row r="9" spans="1:12">
      <c r="A9" s="33">
        <v>6</v>
      </c>
      <c r="B9" s="36" t="s">
        <v>113</v>
      </c>
      <c r="C9" s="11" t="s">
        <v>33</v>
      </c>
      <c r="D9" s="15" t="s">
        <v>110</v>
      </c>
      <c r="E9" s="12" t="s">
        <v>55</v>
      </c>
      <c r="F9" s="12" t="s">
        <v>56</v>
      </c>
      <c r="G9" s="12">
        <v>872973</v>
      </c>
      <c r="H9" s="11" t="s">
        <v>82</v>
      </c>
      <c r="I9" s="11" t="s">
        <v>87</v>
      </c>
      <c r="J9" s="34" t="s">
        <v>111</v>
      </c>
      <c r="K9" s="37" t="s">
        <v>112</v>
      </c>
      <c r="L9" s="11" t="s">
        <v>57</v>
      </c>
    </row>
    <row r="10" spans="1:12">
      <c r="A10" s="33">
        <v>7</v>
      </c>
      <c r="B10" s="36" t="s">
        <v>116</v>
      </c>
      <c r="C10" s="11" t="s">
        <v>22</v>
      </c>
      <c r="D10" s="15" t="s">
        <v>114</v>
      </c>
      <c r="E10" s="12" t="s">
        <v>59</v>
      </c>
      <c r="F10" s="12" t="s">
        <v>76</v>
      </c>
      <c r="G10" s="12">
        <v>2696912</v>
      </c>
      <c r="H10" s="11" t="s">
        <v>82</v>
      </c>
      <c r="I10" s="11" t="s">
        <v>87</v>
      </c>
      <c r="J10" s="34" t="s">
        <v>115</v>
      </c>
      <c r="K10" s="37" t="s">
        <v>58</v>
      </c>
      <c r="L10" s="11" t="s">
        <v>19</v>
      </c>
    </row>
    <row r="11" spans="1:12">
      <c r="A11" s="33">
        <v>8</v>
      </c>
      <c r="B11" s="36" t="s">
        <v>120</v>
      </c>
      <c r="C11" s="11" t="s">
        <v>33</v>
      </c>
      <c r="D11" s="15" t="s">
        <v>117</v>
      </c>
      <c r="E11" s="12" t="s">
        <v>70</v>
      </c>
      <c r="F11" s="12" t="s">
        <v>121</v>
      </c>
      <c r="G11" s="12">
        <v>2928446</v>
      </c>
      <c r="H11" s="11" t="s">
        <v>82</v>
      </c>
      <c r="I11" s="11" t="s">
        <v>118</v>
      </c>
      <c r="J11" s="34" t="s">
        <v>119</v>
      </c>
      <c r="K11" s="37" t="s">
        <v>63</v>
      </c>
      <c r="L11" s="11" t="s">
        <v>57</v>
      </c>
    </row>
    <row r="12" spans="1:12">
      <c r="A12" s="33">
        <v>9</v>
      </c>
      <c r="B12" s="36" t="s">
        <v>124</v>
      </c>
      <c r="C12" s="11" t="s">
        <v>33</v>
      </c>
      <c r="D12" s="15" t="s">
        <v>122</v>
      </c>
      <c r="E12" s="12" t="s">
        <v>59</v>
      </c>
      <c r="F12" s="12" t="s">
        <v>64</v>
      </c>
      <c r="G12" s="12">
        <v>1889969</v>
      </c>
      <c r="H12" s="11" t="s">
        <v>82</v>
      </c>
      <c r="I12" s="11" t="s">
        <v>87</v>
      </c>
      <c r="J12" s="34" t="s">
        <v>123</v>
      </c>
      <c r="K12" s="37" t="s">
        <v>72</v>
      </c>
      <c r="L12" s="11" t="s">
        <v>19</v>
      </c>
    </row>
    <row r="13" spans="1:12" ht="54">
      <c r="A13" s="33">
        <v>10</v>
      </c>
      <c r="B13" s="36" t="s">
        <v>125</v>
      </c>
      <c r="C13" s="11" t="s">
        <v>47</v>
      </c>
      <c r="D13" s="15">
        <v>1128458</v>
      </c>
      <c r="E13" s="12" t="s">
        <v>52</v>
      </c>
      <c r="F13" s="12" t="s">
        <v>126</v>
      </c>
      <c r="G13" s="12">
        <v>65568096</v>
      </c>
      <c r="H13" s="11" t="s">
        <v>77</v>
      </c>
      <c r="I13" s="11" t="s">
        <v>118</v>
      </c>
      <c r="J13" s="34" t="s">
        <v>128</v>
      </c>
      <c r="K13" s="38" t="s">
        <v>127</v>
      </c>
      <c r="L13" s="11" t="s">
        <v>53</v>
      </c>
    </row>
    <row r="14" spans="1:12" ht="54">
      <c r="A14" s="33">
        <v>11</v>
      </c>
      <c r="B14" s="36" t="s">
        <v>130</v>
      </c>
      <c r="C14" s="11" t="s">
        <v>47</v>
      </c>
      <c r="D14" s="15">
        <v>1125964</v>
      </c>
      <c r="E14" s="12" t="s">
        <v>52</v>
      </c>
      <c r="F14" s="12" t="s">
        <v>66</v>
      </c>
      <c r="G14" s="12">
        <v>8246038</v>
      </c>
      <c r="H14" s="11" t="s">
        <v>82</v>
      </c>
      <c r="I14" s="11" t="s">
        <v>118</v>
      </c>
      <c r="J14" s="34" t="s">
        <v>129</v>
      </c>
      <c r="K14" s="38" t="s">
        <v>65</v>
      </c>
      <c r="L14" s="11" t="s">
        <v>53</v>
      </c>
    </row>
    <row r="15" spans="1:12" ht="54">
      <c r="A15" s="33">
        <v>12</v>
      </c>
      <c r="B15" s="36" t="s">
        <v>131</v>
      </c>
      <c r="C15" s="11" t="s">
        <v>13</v>
      </c>
      <c r="D15" s="15">
        <v>1126619</v>
      </c>
      <c r="E15" s="12" t="s">
        <v>52</v>
      </c>
      <c r="F15" s="12" t="s">
        <v>132</v>
      </c>
      <c r="G15" s="12">
        <v>7705237</v>
      </c>
      <c r="H15" s="11" t="s">
        <v>82</v>
      </c>
      <c r="I15" s="11" t="s">
        <v>118</v>
      </c>
      <c r="J15" s="34" t="s">
        <v>133</v>
      </c>
      <c r="K15" s="38" t="s">
        <v>134</v>
      </c>
      <c r="L15" s="11" t="s">
        <v>53</v>
      </c>
    </row>
    <row r="16" spans="1:12">
      <c r="A16" s="33">
        <v>13</v>
      </c>
      <c r="B16" s="36" t="s">
        <v>137</v>
      </c>
      <c r="C16" s="11" t="s">
        <v>48</v>
      </c>
      <c r="D16" s="15" t="s">
        <v>135</v>
      </c>
      <c r="E16" s="12" t="s">
        <v>70</v>
      </c>
      <c r="F16" s="12" t="s">
        <v>138</v>
      </c>
      <c r="G16" s="12">
        <v>3408720</v>
      </c>
      <c r="H16" s="11" t="s">
        <v>82</v>
      </c>
      <c r="I16" s="11" t="s">
        <v>89</v>
      </c>
      <c r="J16" s="34" t="s">
        <v>136</v>
      </c>
      <c r="K16" s="37" t="s">
        <v>63</v>
      </c>
      <c r="L16" s="11" t="s">
        <v>19</v>
      </c>
    </row>
    <row r="17" spans="1:12">
      <c r="A17" s="33">
        <v>14</v>
      </c>
      <c r="B17" s="36" t="s">
        <v>141</v>
      </c>
      <c r="C17" s="11" t="s">
        <v>33</v>
      </c>
      <c r="D17" s="15" t="s">
        <v>139</v>
      </c>
      <c r="E17" s="12" t="s">
        <v>70</v>
      </c>
      <c r="F17" s="12" t="s">
        <v>121</v>
      </c>
      <c r="G17" s="12">
        <v>2509642</v>
      </c>
      <c r="H17" s="11" t="s">
        <v>82</v>
      </c>
      <c r="I17" s="11" t="s">
        <v>118</v>
      </c>
      <c r="J17" s="34" t="s">
        <v>140</v>
      </c>
      <c r="K17" s="37" t="s">
        <v>63</v>
      </c>
      <c r="L17" s="11" t="s">
        <v>57</v>
      </c>
    </row>
    <row r="18" spans="1:12">
      <c r="A18" s="33">
        <v>15</v>
      </c>
      <c r="B18" s="36" t="s">
        <v>144</v>
      </c>
      <c r="C18" s="11" t="s">
        <v>48</v>
      </c>
      <c r="D18" s="15" t="s">
        <v>142</v>
      </c>
      <c r="E18" s="12" t="s">
        <v>59</v>
      </c>
      <c r="F18" s="12" t="s">
        <v>90</v>
      </c>
      <c r="G18" s="12">
        <v>2010766</v>
      </c>
      <c r="H18" s="11" t="s">
        <v>84</v>
      </c>
      <c r="I18" s="11" t="s">
        <v>87</v>
      </c>
      <c r="J18" s="34" t="s">
        <v>143</v>
      </c>
      <c r="K18" s="37" t="s">
        <v>88</v>
      </c>
      <c r="L18" s="11" t="s">
        <v>19</v>
      </c>
    </row>
    <row r="19" spans="1:12">
      <c r="A19" s="33">
        <v>16</v>
      </c>
      <c r="B19" s="55" t="s">
        <v>148</v>
      </c>
      <c r="C19" s="11" t="s">
        <v>145</v>
      </c>
      <c r="D19" s="15" t="s">
        <v>146</v>
      </c>
      <c r="E19" s="12" t="s">
        <v>70</v>
      </c>
      <c r="F19" s="12" t="s">
        <v>147</v>
      </c>
      <c r="G19" s="12">
        <v>1990290</v>
      </c>
      <c r="H19" s="11" t="s">
        <v>82</v>
      </c>
      <c r="I19" s="11" t="s">
        <v>118</v>
      </c>
      <c r="J19" s="34" t="s">
        <v>149</v>
      </c>
      <c r="K19" s="37" t="s">
        <v>63</v>
      </c>
      <c r="L19" s="11" t="s">
        <v>57</v>
      </c>
    </row>
    <row r="20" spans="1:12">
      <c r="A20" s="33">
        <v>17</v>
      </c>
      <c r="B20" s="55" t="s">
        <v>152</v>
      </c>
      <c r="C20" s="11" t="s">
        <v>33</v>
      </c>
      <c r="D20" s="15" t="s">
        <v>150</v>
      </c>
      <c r="E20" s="12" t="s">
        <v>70</v>
      </c>
      <c r="F20" s="12" t="s">
        <v>121</v>
      </c>
      <c r="G20" s="12">
        <v>3425649</v>
      </c>
      <c r="H20" s="11" t="s">
        <v>82</v>
      </c>
      <c r="I20" s="11" t="s">
        <v>118</v>
      </c>
      <c r="J20" s="34" t="s">
        <v>151</v>
      </c>
      <c r="K20" s="39" t="s">
        <v>63</v>
      </c>
      <c r="L20" s="11" t="s">
        <v>57</v>
      </c>
    </row>
    <row r="21" spans="1:12">
      <c r="A21" s="33">
        <v>18</v>
      </c>
      <c r="B21" s="55" t="s">
        <v>153</v>
      </c>
      <c r="C21" s="11" t="s">
        <v>33</v>
      </c>
      <c r="D21" s="15" t="s">
        <v>154</v>
      </c>
      <c r="E21" s="12" t="s">
        <v>61</v>
      </c>
      <c r="F21" s="12" t="s">
        <v>64</v>
      </c>
      <c r="G21" s="12">
        <v>4143209</v>
      </c>
      <c r="H21" s="11" t="s">
        <v>82</v>
      </c>
      <c r="I21" s="11" t="s">
        <v>87</v>
      </c>
      <c r="J21" s="34" t="s">
        <v>155</v>
      </c>
      <c r="K21" s="35" t="s">
        <v>73</v>
      </c>
      <c r="L21" s="11" t="s">
        <v>19</v>
      </c>
    </row>
    <row r="22" spans="1:12" ht="54">
      <c r="A22" s="33">
        <v>19</v>
      </c>
      <c r="B22" s="56" t="s">
        <v>156</v>
      </c>
      <c r="C22" s="11" t="s">
        <v>22</v>
      </c>
      <c r="D22" s="11">
        <v>1128721</v>
      </c>
      <c r="E22" s="12" t="s">
        <v>52</v>
      </c>
      <c r="F22" s="40" t="s">
        <v>157</v>
      </c>
      <c r="G22" s="12">
        <v>29560765</v>
      </c>
      <c r="H22" s="11" t="s">
        <v>84</v>
      </c>
      <c r="I22" s="11" t="s">
        <v>159</v>
      </c>
      <c r="J22" s="34" t="s">
        <v>158</v>
      </c>
      <c r="K22" s="41" t="s">
        <v>81</v>
      </c>
      <c r="L22" s="11" t="s">
        <v>53</v>
      </c>
    </row>
    <row r="23" spans="1:12" ht="54">
      <c r="A23" s="33">
        <v>20</v>
      </c>
      <c r="B23" s="56" t="s">
        <v>160</v>
      </c>
      <c r="C23" s="11" t="s">
        <v>13</v>
      </c>
      <c r="D23" s="11">
        <v>1128455</v>
      </c>
      <c r="E23" s="12" t="s">
        <v>52</v>
      </c>
      <c r="F23" s="12" t="s">
        <v>60</v>
      </c>
      <c r="G23" s="12">
        <v>13190916</v>
      </c>
      <c r="H23" s="11" t="s">
        <v>84</v>
      </c>
      <c r="I23" s="11" t="s">
        <v>161</v>
      </c>
      <c r="J23" s="34" t="s">
        <v>162</v>
      </c>
      <c r="K23" s="41" t="s">
        <v>163</v>
      </c>
      <c r="L23" s="11" t="s">
        <v>53</v>
      </c>
    </row>
    <row r="24" spans="1:12" ht="54">
      <c r="A24" s="33">
        <v>21</v>
      </c>
      <c r="B24" s="57" t="s">
        <v>164</v>
      </c>
      <c r="C24" s="11" t="s">
        <v>47</v>
      </c>
      <c r="D24" s="11">
        <v>1126359</v>
      </c>
      <c r="E24" s="12" t="s">
        <v>52</v>
      </c>
      <c r="F24" s="11" t="s">
        <v>165</v>
      </c>
      <c r="G24" s="12">
        <v>5200607</v>
      </c>
      <c r="H24" s="11" t="s">
        <v>84</v>
      </c>
      <c r="I24" s="11" t="s">
        <v>161</v>
      </c>
      <c r="J24" s="42" t="s">
        <v>166</v>
      </c>
      <c r="K24" s="42" t="s">
        <v>167</v>
      </c>
      <c r="L24" s="11" t="s">
        <v>53</v>
      </c>
    </row>
    <row r="25" spans="1:12" ht="54">
      <c r="A25" s="33">
        <v>22</v>
      </c>
      <c r="B25" s="56" t="s">
        <v>170</v>
      </c>
      <c r="C25" s="11" t="s">
        <v>23</v>
      </c>
      <c r="D25" s="43">
        <v>1126925</v>
      </c>
      <c r="E25" s="12" t="s">
        <v>52</v>
      </c>
      <c r="F25" s="12" t="s">
        <v>60</v>
      </c>
      <c r="G25" s="12">
        <v>4313114</v>
      </c>
      <c r="H25" s="11" t="s">
        <v>84</v>
      </c>
      <c r="I25" s="11" t="s">
        <v>161</v>
      </c>
      <c r="J25" s="42" t="s">
        <v>168</v>
      </c>
      <c r="K25" s="44" t="s">
        <v>169</v>
      </c>
      <c r="L25" s="11" t="s">
        <v>53</v>
      </c>
    </row>
    <row r="26" spans="1:12" ht="54">
      <c r="A26" s="33">
        <v>23</v>
      </c>
      <c r="B26" s="58" t="s">
        <v>171</v>
      </c>
      <c r="C26" s="11" t="s">
        <v>22</v>
      </c>
      <c r="D26" s="43">
        <v>1126868</v>
      </c>
      <c r="E26" s="12" t="s">
        <v>52</v>
      </c>
      <c r="F26" s="12" t="s">
        <v>172</v>
      </c>
      <c r="G26" s="12">
        <v>2483281</v>
      </c>
      <c r="H26" s="11" t="s">
        <v>84</v>
      </c>
      <c r="I26" s="11" t="s">
        <v>173</v>
      </c>
      <c r="J26" s="42" t="s">
        <v>174</v>
      </c>
      <c r="K26" s="34" t="s">
        <v>62</v>
      </c>
      <c r="L26" s="11" t="s">
        <v>53</v>
      </c>
    </row>
    <row r="27" spans="1:12" ht="54">
      <c r="A27" s="33">
        <v>24</v>
      </c>
      <c r="B27" s="58" t="s">
        <v>175</v>
      </c>
      <c r="C27" s="11" t="s">
        <v>24</v>
      </c>
      <c r="D27" s="43">
        <v>1126931</v>
      </c>
      <c r="E27" s="12" t="s">
        <v>52</v>
      </c>
      <c r="F27" s="12" t="s">
        <v>75</v>
      </c>
      <c r="G27" s="12">
        <v>2329542</v>
      </c>
      <c r="H27" s="11" t="s">
        <v>84</v>
      </c>
      <c r="I27" s="11" t="s">
        <v>161</v>
      </c>
      <c r="J27" s="42" t="s">
        <v>176</v>
      </c>
      <c r="K27" s="44" t="s">
        <v>74</v>
      </c>
      <c r="L27" s="11" t="s">
        <v>53</v>
      </c>
    </row>
    <row r="28" spans="1:12" ht="54">
      <c r="A28" s="33">
        <v>25</v>
      </c>
      <c r="B28" s="58" t="s">
        <v>177</v>
      </c>
      <c r="C28" s="11" t="s">
        <v>26</v>
      </c>
      <c r="D28" s="43">
        <v>1126368</v>
      </c>
      <c r="E28" s="12" t="s">
        <v>52</v>
      </c>
      <c r="F28" s="45" t="s">
        <v>178</v>
      </c>
      <c r="G28" s="12">
        <v>1834745</v>
      </c>
      <c r="H28" s="11" t="s">
        <v>84</v>
      </c>
      <c r="I28" s="11" t="s">
        <v>161</v>
      </c>
      <c r="J28" s="42" t="s">
        <v>179</v>
      </c>
      <c r="K28" s="44" t="s">
        <v>180</v>
      </c>
      <c r="L28" s="11" t="s">
        <v>53</v>
      </c>
    </row>
    <row r="29" spans="1:12" ht="54">
      <c r="A29" s="33">
        <v>26</v>
      </c>
      <c r="B29" s="57" t="s">
        <v>184</v>
      </c>
      <c r="C29" s="11" t="s">
        <v>13</v>
      </c>
      <c r="D29" s="11">
        <v>1127063</v>
      </c>
      <c r="E29" s="12" t="s">
        <v>52</v>
      </c>
      <c r="F29" s="11" t="s">
        <v>181</v>
      </c>
      <c r="G29" s="12">
        <v>1689108</v>
      </c>
      <c r="H29" s="11" t="s">
        <v>84</v>
      </c>
      <c r="I29" s="11" t="s">
        <v>161</v>
      </c>
      <c r="J29" s="42" t="s">
        <v>182</v>
      </c>
      <c r="K29" s="42" t="s">
        <v>183</v>
      </c>
      <c r="L29" s="11" t="s">
        <v>53</v>
      </c>
    </row>
    <row r="30" spans="1:12" ht="54">
      <c r="A30" s="33">
        <v>27</v>
      </c>
      <c r="B30" s="55" t="s">
        <v>187</v>
      </c>
      <c r="C30" s="11" t="s">
        <v>13</v>
      </c>
      <c r="D30" s="43">
        <v>1127775</v>
      </c>
      <c r="E30" s="12" t="s">
        <v>52</v>
      </c>
      <c r="F30" s="42" t="s">
        <v>185</v>
      </c>
      <c r="G30" s="12">
        <v>1143464</v>
      </c>
      <c r="H30" s="11" t="s">
        <v>77</v>
      </c>
      <c r="I30" s="11" t="s">
        <v>118</v>
      </c>
      <c r="J30" s="42" t="s">
        <v>186</v>
      </c>
      <c r="K30" s="42" t="s">
        <v>54</v>
      </c>
      <c r="L30" s="11" t="s">
        <v>53</v>
      </c>
    </row>
    <row r="31" spans="1:12" ht="54">
      <c r="A31" s="33">
        <v>28</v>
      </c>
      <c r="B31" s="58" t="s">
        <v>188</v>
      </c>
      <c r="C31" s="11" t="s">
        <v>13</v>
      </c>
      <c r="D31" s="46">
        <v>1127199</v>
      </c>
      <c r="E31" s="12" t="s">
        <v>52</v>
      </c>
      <c r="F31" s="40" t="s">
        <v>189</v>
      </c>
      <c r="G31" s="12">
        <v>855961</v>
      </c>
      <c r="H31" s="11" t="s">
        <v>80</v>
      </c>
      <c r="I31" s="11" t="s">
        <v>118</v>
      </c>
      <c r="J31" s="42" t="s">
        <v>190</v>
      </c>
      <c r="K31" s="34" t="s">
        <v>191</v>
      </c>
      <c r="L31" s="11" t="s">
        <v>53</v>
      </c>
    </row>
    <row r="32" spans="1:12" ht="54">
      <c r="A32" s="33">
        <v>29</v>
      </c>
      <c r="B32" s="58" t="s">
        <v>192</v>
      </c>
      <c r="C32" s="11" t="s">
        <v>13</v>
      </c>
      <c r="D32" s="46">
        <v>1126864</v>
      </c>
      <c r="E32" s="12" t="s">
        <v>52</v>
      </c>
      <c r="F32" s="47" t="s">
        <v>193</v>
      </c>
      <c r="G32" s="12">
        <v>774854</v>
      </c>
      <c r="H32" s="11" t="s">
        <v>80</v>
      </c>
      <c r="I32" s="11" t="s">
        <v>118</v>
      </c>
      <c r="J32" s="42" t="s">
        <v>194</v>
      </c>
      <c r="K32" s="34" t="s">
        <v>195</v>
      </c>
      <c r="L32" s="11" t="s">
        <v>53</v>
      </c>
    </row>
    <row r="33" spans="1:12" ht="54">
      <c r="A33" s="33">
        <v>30</v>
      </c>
      <c r="B33" s="55" t="s">
        <v>196</v>
      </c>
      <c r="C33" s="11" t="s">
        <v>13</v>
      </c>
      <c r="D33" s="43">
        <v>1118433</v>
      </c>
      <c r="E33" s="12" t="s">
        <v>52</v>
      </c>
      <c r="F33" s="42" t="s">
        <v>197</v>
      </c>
      <c r="G33" s="12">
        <v>730327</v>
      </c>
      <c r="H33" s="11" t="s">
        <v>86</v>
      </c>
      <c r="I33" s="11" t="s">
        <v>198</v>
      </c>
      <c r="J33" s="42" t="s">
        <v>199</v>
      </c>
      <c r="K33" s="42" t="s">
        <v>200</v>
      </c>
      <c r="L33" s="11" t="s">
        <v>53</v>
      </c>
    </row>
    <row r="34" spans="1:12" ht="54">
      <c r="A34" s="33">
        <v>31</v>
      </c>
      <c r="B34" s="59" t="s">
        <v>201</v>
      </c>
      <c r="C34" s="11" t="s">
        <v>13</v>
      </c>
      <c r="D34" s="49">
        <v>1127452</v>
      </c>
      <c r="E34" s="12" t="s">
        <v>52</v>
      </c>
      <c r="F34" s="42" t="s">
        <v>157</v>
      </c>
      <c r="G34" s="12">
        <v>613822</v>
      </c>
      <c r="H34" s="11" t="s">
        <v>77</v>
      </c>
      <c r="I34" s="11" t="s">
        <v>118</v>
      </c>
      <c r="J34" s="42" t="s">
        <v>203</v>
      </c>
      <c r="K34" s="48" t="s">
        <v>202</v>
      </c>
      <c r="L34" s="11" t="s">
        <v>53</v>
      </c>
    </row>
    <row r="35" spans="1:12" ht="54">
      <c r="A35" s="33">
        <v>32</v>
      </c>
      <c r="B35" s="55" t="s">
        <v>204</v>
      </c>
      <c r="C35" s="11" t="s">
        <v>13</v>
      </c>
      <c r="D35" s="43">
        <v>1132204</v>
      </c>
      <c r="E35" s="12" t="s">
        <v>52</v>
      </c>
      <c r="F35" s="42" t="s">
        <v>206</v>
      </c>
      <c r="G35" s="12">
        <v>590098</v>
      </c>
      <c r="H35" s="11" t="s">
        <v>86</v>
      </c>
      <c r="I35" s="11" t="s">
        <v>118</v>
      </c>
      <c r="J35" s="42" t="s">
        <v>205</v>
      </c>
      <c r="K35" s="42" t="s">
        <v>78</v>
      </c>
      <c r="L35" s="11" t="s">
        <v>53</v>
      </c>
    </row>
    <row r="36" spans="1:12" ht="29.25" thickBot="1">
      <c r="B36" s="60" t="s">
        <v>208</v>
      </c>
      <c r="D36" s="27"/>
    </row>
    <row r="37" spans="1:12">
      <c r="K37" s="30" t="s">
        <v>49</v>
      </c>
    </row>
    <row r="38" spans="1:12">
      <c r="K38" s="31" t="s">
        <v>50</v>
      </c>
    </row>
    <row r="39" spans="1:12" ht="20.25" thickBot="1">
      <c r="K39" s="32" t="s">
        <v>51</v>
      </c>
    </row>
    <row r="40" spans="1:12">
      <c r="B40" s="61">
        <v>0</v>
      </c>
    </row>
  </sheetData>
  <mergeCells count="2">
    <mergeCell ref="A2:L2"/>
    <mergeCell ref="A1:L1"/>
  </mergeCells>
  <phoneticPr fontId="6" type="noConversion"/>
  <dataValidations count="1">
    <dataValidation type="list" allowBlank="1" showInputMessage="1" showErrorMessage="1" sqref="D3">
      <formula1>$D$3:$D$177</formula1>
    </dataValidation>
  </dataValidations>
  <hyperlinks>
    <hyperlink ref="K38" r:id="rId1"/>
  </hyperlinks>
  <pageMargins left="0.7" right="0.7" top="0.75" bottom="0.75" header="0.3" footer="0.3"/>
  <pageSetup paperSize="9" scale="35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rightToLeft="1" workbookViewId="0">
      <selection activeCell="R17" sqref="R17"/>
    </sheetView>
  </sheetViews>
  <sheetFormatPr defaultRowHeight="15"/>
  <cols>
    <col min="1" max="1" width="14" style="29" bestFit="1" customWidth="1"/>
    <col min="2" max="2" width="5.140625" style="29" bestFit="1" customWidth="1"/>
    <col min="3" max="3" width="13.5703125" style="29" bestFit="1" customWidth="1"/>
    <col min="4" max="16384" width="9.140625" style="29"/>
  </cols>
  <sheetData>
    <row r="1" spans="1:3" ht="19.5">
      <c r="A1" s="52" t="s">
        <v>16</v>
      </c>
      <c r="B1" s="52"/>
      <c r="C1" s="52"/>
    </row>
    <row r="2" spans="1:3" ht="18">
      <c r="A2" s="11"/>
      <c r="B2" s="11" t="s">
        <v>14</v>
      </c>
      <c r="C2" s="11" t="s">
        <v>18</v>
      </c>
    </row>
    <row r="3" spans="1:3" ht="18">
      <c r="A3" s="11" t="s">
        <v>15</v>
      </c>
      <c r="B3" s="11">
        <f>SUM(B5-B4)</f>
        <v>23</v>
      </c>
      <c r="C3" s="13">
        <f>SUM(C5-C4)</f>
        <v>154082553</v>
      </c>
    </row>
    <row r="4" spans="1:3" ht="18">
      <c r="A4" s="11" t="s">
        <v>13</v>
      </c>
      <c r="B4" s="11">
        <f>COUNTIF(مناقصات!C4:C516,"خرید اقلام")</f>
        <v>9</v>
      </c>
      <c r="C4" s="14">
        <f>SUMIF(مناقصات!C4:C200,"خرید اقلام",مناقصات!G4:G500)</f>
        <v>27293787</v>
      </c>
    </row>
    <row r="5" spans="1:3" ht="19.5">
      <c r="A5" s="28" t="s">
        <v>17</v>
      </c>
      <c r="B5" s="28">
        <f>COUNTA(مناقصات!C4:C516)</f>
        <v>32</v>
      </c>
      <c r="C5" s="24">
        <f>SUM(مناقصات!G4:G516)</f>
        <v>181376340</v>
      </c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rightToLeft="1" topLeftCell="A4" workbookViewId="0">
      <selection activeCell="C8" sqref="C8"/>
    </sheetView>
  </sheetViews>
  <sheetFormatPr defaultRowHeight="18"/>
  <cols>
    <col min="1" max="1" width="30.140625" style="16" bestFit="1" customWidth="1"/>
    <col min="2" max="2" width="4.28515625" style="1" bestFit="1" customWidth="1"/>
    <col min="3" max="3" width="15.28515625" style="22" bestFit="1" customWidth="1"/>
    <col min="4" max="16384" width="9.140625" style="16"/>
  </cols>
  <sheetData>
    <row r="1" spans="1:3" ht="19.5">
      <c r="A1" s="52" t="s">
        <v>36</v>
      </c>
      <c r="B1" s="52"/>
      <c r="C1" s="52"/>
    </row>
    <row r="2" spans="1:3">
      <c r="A2" s="11"/>
      <c r="B2" s="11" t="s">
        <v>14</v>
      </c>
      <c r="C2" s="14" t="s">
        <v>18</v>
      </c>
    </row>
    <row r="3" spans="1:3">
      <c r="A3" s="11" t="s">
        <v>47</v>
      </c>
      <c r="B3" s="11">
        <f>COUNTIF(مناقصات!C4:C1943,"فنی-مهندسی نفت‌وگاز")</f>
        <v>3</v>
      </c>
      <c r="C3" s="14">
        <f>SUMIF(مناقصات!C4:C9875,"فنی-مهندسی نفت‌وگاز",مناقصات!G4:G9875)</f>
        <v>79014741</v>
      </c>
    </row>
    <row r="4" spans="1:3">
      <c r="A4" s="11" t="s">
        <v>22</v>
      </c>
      <c r="B4" s="11">
        <f>COUNTIF(مناقصات!C4:C1943,"فنی-مهندسی برق")</f>
        <v>3</v>
      </c>
      <c r="C4" s="14">
        <f>SUMIF(مناقصات!C4:C9875,"فنی-مهندسی برق",مناقصات!G4:G9875)</f>
        <v>34740958</v>
      </c>
    </row>
    <row r="5" spans="1:3">
      <c r="A5" s="17" t="s">
        <v>23</v>
      </c>
      <c r="B5" s="11">
        <f>COUNTIF(مناقصات!C4:C1943,"فنی-مهندسی راه‌آهن")</f>
        <v>1</v>
      </c>
      <c r="C5" s="14">
        <f>SUMIF(مناقصات!C4:C9875,"فنی-مهندسی راه‌آهن",مناقصات!G4:G9875)</f>
        <v>4313114</v>
      </c>
    </row>
    <row r="6" spans="1:3">
      <c r="A6" s="17" t="s">
        <v>41</v>
      </c>
      <c r="B6" s="11">
        <f>COUNTIF(مناقصات!C4:C1943,"فنی-مهندسی گرمایش و سرمایش")</f>
        <v>0</v>
      </c>
      <c r="C6" s="14">
        <f>SUMIF(مناقصات!C4:C9875,"فنی-مهندسی گرمایش و سرمایش",مناقصات!G4:G9875)</f>
        <v>0</v>
      </c>
    </row>
    <row r="7" spans="1:3">
      <c r="A7" s="11" t="s">
        <v>30</v>
      </c>
      <c r="B7" s="11">
        <f>COUNTIF(مناقصات!C4:C1943,"فنی-مهندسی ارتباطات و فناوری اطلاعات")</f>
        <v>0</v>
      </c>
      <c r="C7" s="14">
        <f>SUMIF(مناقصات!C4:C9875,"فنی-مهندسی ارتباطات و فناوری اطلاعات",مناقصات!G4:G9875)</f>
        <v>0</v>
      </c>
    </row>
    <row r="8" spans="1:3">
      <c r="A8" s="11" t="s">
        <v>31</v>
      </c>
      <c r="B8" s="11">
        <f>COUNTIF(مناقصات!C4:C1943,"فنی-مهندسی فضای سبز")</f>
        <v>0</v>
      </c>
      <c r="C8" s="14">
        <f>SUMIF(مناقصات!C4:C9875,"فنی-مهندسی فضای سبز",مناقصات!G4:G9875)</f>
        <v>0</v>
      </c>
    </row>
    <row r="9" spans="1:3">
      <c r="A9" s="11" t="s">
        <v>27</v>
      </c>
      <c r="B9" s="11">
        <f>COUNTIF(مناقصات!C4:C1944,"فنی-مهندسی معدن")</f>
        <v>0</v>
      </c>
      <c r="C9" s="14">
        <f>SUMIF(مناقصات!C4:C9876,"فنی-مهندسی معدن",مناقصات!G4:G9876)</f>
        <v>0</v>
      </c>
    </row>
    <row r="10" spans="1:3">
      <c r="A10" s="11" t="s">
        <v>37</v>
      </c>
      <c r="B10" s="11">
        <f>COUNTIF(مناقصات!C4:C1945,"فنی-مهندسی کشاورزی")</f>
        <v>0</v>
      </c>
      <c r="C10" s="14">
        <f>SUMIF(مناقصات!C4:C9877,"فنی-مهندسی کشاورزی",مناقصات!G4:G9877)</f>
        <v>0</v>
      </c>
    </row>
    <row r="11" spans="1:3">
      <c r="A11" s="11" t="s">
        <v>46</v>
      </c>
      <c r="B11" s="11">
        <f>COUNTIF(مناقصات!C4:C1946,"فنی-مهندسی هواپیمایی کشوری")</f>
        <v>0</v>
      </c>
      <c r="C11" s="14">
        <f>SUMIF(مناقصات!C4:C9878,"فنی-مهندسی هواپیمایی کشوری",مناقصات!G4:G9878)</f>
        <v>0</v>
      </c>
    </row>
    <row r="12" spans="1:3">
      <c r="A12" s="11" t="s">
        <v>29</v>
      </c>
      <c r="B12" s="11">
        <f>COUNTIF(مناقصات!C36:C1946,"بازسازی ابنیه تاریخی")</f>
        <v>0</v>
      </c>
      <c r="C12" s="14">
        <f>SUMIF(مناقصات!C4:C9878,"بازسازی ابنیه تاریخی",مناقصات!G4:G9878)</f>
        <v>0</v>
      </c>
    </row>
    <row r="13" spans="1:3" s="3" customFormat="1" ht="19.5">
      <c r="A13" s="18" t="s">
        <v>38</v>
      </c>
      <c r="B13" s="18">
        <f>SUM(B3:B12)</f>
        <v>7</v>
      </c>
      <c r="C13" s="21">
        <f>SUM(C3:C12)</f>
        <v>118068813</v>
      </c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rightToLeft="1" workbookViewId="0">
      <selection activeCell="C10" sqref="C10"/>
    </sheetView>
  </sheetViews>
  <sheetFormatPr defaultRowHeight="15"/>
  <cols>
    <col min="1" max="1" width="23.7109375" style="16" bestFit="1" customWidth="1"/>
    <col min="2" max="2" width="5.28515625" style="16" bestFit="1" customWidth="1"/>
    <col min="3" max="3" width="14.140625" style="16" bestFit="1" customWidth="1"/>
    <col min="4" max="16384" width="9.140625" style="16"/>
  </cols>
  <sheetData>
    <row r="1" spans="1:3" ht="19.5">
      <c r="A1" s="52" t="s">
        <v>35</v>
      </c>
      <c r="B1" s="52"/>
      <c r="C1" s="52"/>
    </row>
    <row r="2" spans="1:3" s="23" customFormat="1" ht="19.5">
      <c r="A2" s="19"/>
      <c r="B2" s="19" t="s">
        <v>14</v>
      </c>
      <c r="C2" s="19" t="s">
        <v>18</v>
      </c>
    </row>
    <row r="3" spans="1:3" ht="18">
      <c r="A3" s="11" t="s">
        <v>33</v>
      </c>
      <c r="B3" s="11">
        <f>COUNTIF(مناقصات!C4:C1943,"تعمیرات بزرگراه، خیابان و جاده")</f>
        <v>7</v>
      </c>
      <c r="C3" s="13">
        <f>SUMIF(مناقصات!C4:C838,"تعمیرات بزرگراه، خیابان و جاده",مناقصات!G4:G838)</f>
        <v>16958063</v>
      </c>
    </row>
    <row r="4" spans="1:3" ht="18">
      <c r="A4" s="11" t="s">
        <v>32</v>
      </c>
      <c r="B4" s="11">
        <f>COUNTIF(مناقصات!C4:C1943,"ساخت بزرگراه، خیابان و جاده")</f>
        <v>0</v>
      </c>
      <c r="C4" s="13">
        <f>SUMIF(مناقصات!C4:C839,"ساخت بزرگراه، خیابان و جاده",مناقصات!G4:G839)</f>
        <v>0</v>
      </c>
    </row>
    <row r="5" spans="1:3" ht="18">
      <c r="A5" s="11" t="s">
        <v>26</v>
      </c>
      <c r="B5" s="11">
        <f>COUNTIF(مناقصات!C4:C1944,"گازرسانی")</f>
        <v>2</v>
      </c>
      <c r="C5" s="13">
        <f>SUMIF(مناقصات!C4:C840,"گازرسانی",مناقصات!G4:G840)</f>
        <v>3595899</v>
      </c>
    </row>
    <row r="6" spans="1:3" ht="18">
      <c r="A6" s="11" t="s">
        <v>83</v>
      </c>
      <c r="B6" s="11">
        <f>COUNTIF(مناقصات!C4:C1944,"برق‌رسانی")</f>
        <v>0</v>
      </c>
      <c r="C6" s="13">
        <f>SUMIF(مناقصات!C4:C840,"برق‌رسانی",مناقصات!G4:G840)</f>
        <v>0</v>
      </c>
    </row>
    <row r="7" spans="1:3" ht="18">
      <c r="A7" s="11" t="s">
        <v>48</v>
      </c>
      <c r="B7" s="11">
        <f>COUNTIF(مناقصات!C4:C1945,"آب‌وآبفا")</f>
        <v>2</v>
      </c>
      <c r="C7" s="13">
        <f>SUMIF(مناقصات!C4:C841,"آب‌وآبفا",مناقصات!G4:G841)</f>
        <v>5419486</v>
      </c>
    </row>
    <row r="8" spans="1:3" ht="18">
      <c r="A8" s="11" t="s">
        <v>20</v>
      </c>
      <c r="B8" s="11">
        <f>COUNTIF(مناقصات!C4:C1943,"انبوه‌سازی مسکن")</f>
        <v>0</v>
      </c>
      <c r="C8" s="13">
        <f>SUMIF(مناقصات!C4:C840,"انبوه‌سازی مسکن",مناقصات!G4:G840)</f>
        <v>0</v>
      </c>
    </row>
    <row r="9" spans="1:3" ht="18">
      <c r="A9" s="11" t="s">
        <v>145</v>
      </c>
      <c r="B9" s="11">
        <f>COUNTIF(مناقصات!C4:C1944,"تعمیرات ابنیه/ساختار مسکونی")</f>
        <v>1</v>
      </c>
      <c r="C9" s="13">
        <f>SUMIF(مناقصات!C5:C841,"تعمیرات ابنیه/ساختار مسکونی",مناقصات!G5:G841)</f>
        <v>1990290</v>
      </c>
    </row>
    <row r="10" spans="1:3" ht="18">
      <c r="A10" s="11" t="s">
        <v>24</v>
      </c>
      <c r="B10" s="11">
        <f>COUNTIF(مناقصات!C4:C1943,"ساخت ابنیه/ساختار غیرمسکونی")</f>
        <v>3</v>
      </c>
      <c r="C10" s="12">
        <f>SUMIF(مناقصات!C4:C838,"ساخت ابنیه/ساختار غیرمسکونی",مناقصات!G4:G838)</f>
        <v>7196622</v>
      </c>
    </row>
    <row r="11" spans="1:3" ht="18">
      <c r="A11" s="17" t="s">
        <v>25</v>
      </c>
      <c r="B11" s="11">
        <f>COUNTIF(مناقصات!C4:C1943,"تعمیرات ابنیه/ساختار غیرمسکونی")</f>
        <v>1</v>
      </c>
      <c r="C11" s="12">
        <f>SUMIF(مناقصات!C4:C839,"تعمیرات ابنیه/ساختار غیرمسکونی",مناقصات!G4:G839)</f>
        <v>853380</v>
      </c>
    </row>
    <row r="12" spans="1:3" s="23" customFormat="1" ht="19.5">
      <c r="A12" s="19" t="s">
        <v>40</v>
      </c>
      <c r="B12" s="19">
        <f>SUM(B3:B11)</f>
        <v>16</v>
      </c>
      <c r="C12" s="20">
        <f>SUM(C3:C11)</f>
        <v>36013740</v>
      </c>
    </row>
  </sheetData>
  <mergeCells count="1"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rightToLeft="1" workbookViewId="0">
      <selection activeCell="C6" sqref="C6"/>
    </sheetView>
  </sheetViews>
  <sheetFormatPr defaultRowHeight="15"/>
  <cols>
    <col min="1" max="1" width="28.42578125" style="16" bestFit="1" customWidth="1"/>
    <col min="2" max="2" width="4.28515625" style="16" bestFit="1" customWidth="1"/>
    <col min="3" max="3" width="12" style="16" bestFit="1" customWidth="1"/>
    <col min="4" max="16384" width="9.140625" style="16"/>
  </cols>
  <sheetData>
    <row r="1" spans="1:3" ht="19.5">
      <c r="A1" s="52" t="s">
        <v>39</v>
      </c>
      <c r="B1" s="52"/>
      <c r="C1" s="52"/>
    </row>
    <row r="2" spans="1:3" ht="18">
      <c r="A2" s="11"/>
      <c r="B2" s="11" t="s">
        <v>14</v>
      </c>
      <c r="C2" s="11" t="s">
        <v>18</v>
      </c>
    </row>
    <row r="3" spans="1:3" ht="18">
      <c r="A3" s="11" t="s">
        <v>21</v>
      </c>
      <c r="B3" s="11">
        <f>COUNTIF(مناقصات!C4:C1943,"خدمات حمل‌ونقل")</f>
        <v>0</v>
      </c>
      <c r="C3" s="13">
        <f>SUMIF(مناقصات!C4:C838,"خدمات حمل‌ونقل",مناقصات!G4:G838)</f>
        <v>0</v>
      </c>
    </row>
    <row r="4" spans="1:3" ht="18">
      <c r="A4" s="11" t="s">
        <v>42</v>
      </c>
      <c r="B4" s="11">
        <f>COUNTIF(مناقصات!C4:C1943,"خدمات نظافت خیابان و ساختمان")</f>
        <v>0</v>
      </c>
      <c r="C4" s="13">
        <f>SUMIF(مناقصات!C36:C839,"خدمات نظافت خیابان و ساختمان",مناقصات!G36:G839)</f>
        <v>0</v>
      </c>
    </row>
    <row r="5" spans="1:3" ht="18">
      <c r="A5" s="11" t="s">
        <v>43</v>
      </c>
      <c r="B5" s="11">
        <f>COUNTIF(مناقصات!C36:C1944,"خدمات شهری")</f>
        <v>0</v>
      </c>
      <c r="C5" s="13">
        <f>SUMIF(مناقصات!C36:C840,"خدمات شهری",مناقصات!G36:G840)</f>
        <v>0</v>
      </c>
    </row>
    <row r="6" spans="1:3" ht="18">
      <c r="A6" s="11" t="s">
        <v>28</v>
      </c>
      <c r="B6" s="11">
        <f>COUNTIF(مناقصات!C36:C1945,"خدمات کترینگ")</f>
        <v>0</v>
      </c>
      <c r="C6" s="13">
        <f>SUMIF(مناقصات!C36:C841,"خدمات کترینگ",مناقصات!G36:G841)</f>
        <v>0</v>
      </c>
    </row>
    <row r="7" spans="1:3" ht="19.5">
      <c r="A7" s="19" t="s">
        <v>40</v>
      </c>
      <c r="B7" s="19">
        <f>SUM(B3:B6)</f>
        <v>0</v>
      </c>
      <c r="C7" s="24">
        <f>SUM(C3:C6)</f>
        <v>0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rightToLeft="1" workbookViewId="0">
      <selection activeCell="C3" sqref="C3"/>
    </sheetView>
  </sheetViews>
  <sheetFormatPr defaultRowHeight="15"/>
  <cols>
    <col min="1" max="1" width="9" style="16" bestFit="1" customWidth="1"/>
    <col min="2" max="2" width="4.28515625" style="16" bestFit="1" customWidth="1"/>
    <col min="3" max="3" width="12.85546875" style="16" bestFit="1" customWidth="1"/>
    <col min="4" max="16384" width="9.140625" style="16"/>
  </cols>
  <sheetData>
    <row r="1" spans="1:3" ht="19.5">
      <c r="A1" s="52" t="s">
        <v>34</v>
      </c>
      <c r="B1" s="52"/>
      <c r="C1" s="52"/>
    </row>
    <row r="2" spans="1:3" ht="18">
      <c r="A2" s="11"/>
      <c r="B2" s="11" t="s">
        <v>14</v>
      </c>
      <c r="C2" s="11" t="s">
        <v>18</v>
      </c>
    </row>
    <row r="3" spans="1:3" s="23" customFormat="1" ht="19.5">
      <c r="A3" s="18" t="s">
        <v>13</v>
      </c>
      <c r="B3" s="18">
        <f>COUNTIF(مناقصات!C4:C1943,"خرید اقلام")</f>
        <v>9</v>
      </c>
      <c r="C3" s="20">
        <f>SUMIF(مناقصات!C4:C1943,"خرید اقلام",مناقصات!G4:G1943)</f>
        <v>27293787</v>
      </c>
    </row>
  </sheetData>
  <mergeCells count="1">
    <mergeCell ref="A1:C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rightToLeft="1" workbookViewId="0">
      <selection activeCell="C7" sqref="C7"/>
    </sheetView>
  </sheetViews>
  <sheetFormatPr defaultRowHeight="15"/>
  <cols>
    <col min="1" max="1" width="14" bestFit="1" customWidth="1"/>
    <col min="2" max="2" width="5.140625" bestFit="1" customWidth="1"/>
    <col min="3" max="3" width="13.85546875" bestFit="1" customWidth="1"/>
  </cols>
  <sheetData>
    <row r="1" spans="1:3" ht="19.5">
      <c r="A1" s="53" t="s">
        <v>16</v>
      </c>
      <c r="B1" s="53"/>
      <c r="C1" s="53"/>
    </row>
    <row r="2" spans="1:3" ht="18">
      <c r="A2" s="11"/>
      <c r="B2" s="11" t="s">
        <v>14</v>
      </c>
      <c r="C2" s="11" t="s">
        <v>18</v>
      </c>
    </row>
    <row r="3" spans="1:3" ht="18">
      <c r="A3" s="11" t="s">
        <v>15</v>
      </c>
      <c r="B3" s="11">
        <f>SUM('آمار فنی-مهندسی'!B13)</f>
        <v>7</v>
      </c>
      <c r="C3" s="13">
        <f>SUM('آمار فنی-مهندسی'!C13)</f>
        <v>118068813</v>
      </c>
    </row>
    <row r="4" spans="1:3" ht="18">
      <c r="A4" s="11" t="s">
        <v>44</v>
      </c>
      <c r="B4" s="11">
        <f>SUM('آمار عمرانی'!B12)</f>
        <v>16</v>
      </c>
      <c r="C4" s="13">
        <f>SUM('آمار عمرانی'!C12)</f>
        <v>36013740</v>
      </c>
    </row>
    <row r="5" spans="1:3" ht="18">
      <c r="A5" s="11" t="s">
        <v>45</v>
      </c>
      <c r="B5" s="11">
        <f>SUM('آمار خدمات'!B7)</f>
        <v>0</v>
      </c>
      <c r="C5" s="13">
        <f>SUM('آمار خدمات'!C7)</f>
        <v>0</v>
      </c>
    </row>
    <row r="6" spans="1:3" ht="18">
      <c r="A6" s="11" t="s">
        <v>13</v>
      </c>
      <c r="B6" s="11">
        <f>SUM('خرید اقلام'!B3)</f>
        <v>9</v>
      </c>
      <c r="C6" s="13">
        <f>SUM('خرید اقلام'!C3)</f>
        <v>27293787</v>
      </c>
    </row>
    <row r="7" spans="1:3" s="25" customFormat="1" ht="19.5">
      <c r="A7" s="19" t="s">
        <v>17</v>
      </c>
      <c r="B7" s="19">
        <f>SUM(B3:B6)</f>
        <v>32</v>
      </c>
      <c r="C7" s="24">
        <f>SUM(C3:C6)</f>
        <v>181376340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مناقصات</vt:lpstr>
      <vt:lpstr>آمار</vt:lpstr>
      <vt:lpstr>آمار فنی-مهندسی</vt:lpstr>
      <vt:lpstr>آمار عمرانی</vt:lpstr>
      <vt:lpstr>آمار خدمات</vt:lpstr>
      <vt:lpstr>خرید اقلام</vt:lpstr>
      <vt:lpstr>آمار کل</vt:lpstr>
    </vt:vector>
  </TitlesOfParts>
  <Company>Win2Farsi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Seyed Mohammad Hoseini</cp:lastModifiedBy>
  <cp:lastPrinted>2024-05-30T06:52:00Z</cp:lastPrinted>
  <dcterms:created xsi:type="dcterms:W3CDTF">2024-03-06T10:44:36Z</dcterms:created>
  <dcterms:modified xsi:type="dcterms:W3CDTF">2025-07-11T12:05:58Z</dcterms:modified>
</cp:coreProperties>
</file>